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<sst xmlns="http://schemas.openxmlformats.org/spreadsheetml/2006/main" count="159" uniqueCount="113">
  <si>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</si>
  <si>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</si>
  <si>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</si>
  <si>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</si>
  <si>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</si>
  <si>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</si>
  <si>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</si>
  <si>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</si>
  <si>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</si>
  <si>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</si>
  <si>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</si>
  <si>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</si>
  <si>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</si>
  <si>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</si>
  <si>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</si>
  <si>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</si>
  <si>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</si>
  <si>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</si>
  <si>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</si>
  <si>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</si>
  <si>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</si>
  <si>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</si>
  <si>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</si>
  <si>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</si>
  <si>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</si>
  <si>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</si>
  <si>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</si>
  <si>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</si>
  <si>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</si>
  <si>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</si>
  <si>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</si>
  <si>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</si>
  <si>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</si>
  <si>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</si>
  <si>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</si>
  <si>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</si>
  <si>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</si>
  <si>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</si>
  <si>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</si>
  <si>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</si>
  <si>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</si>
  <si>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</si>
  <si>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</si>
  <si>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</si>
  <si>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</si>
  <si>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</si>
  <si>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</si>
  <si>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</si>
  <si>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</si>
  <si>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</si>
  <si>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</si>
  <si>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</si>
  <si>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</si>
  <si>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</si>
  <si>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</si>
  <si>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</si>
  <si>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</si>
  <si>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</si>
  <si>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</si>
  <si>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</si>
  <si>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</si>
  <si>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</si>
  <si>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</si>
  <si>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</si>
  <si>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</si>
  <si>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</si>
  <si>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</si>
  <si>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</si>
  <si>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</si>
  <si>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</si>
  <si>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</si>
  <si>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</si>
  <si>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</si>
  <si>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</si>
  <si>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</si>
  <si>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</si>
  <si>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</si>
  <si>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</si>
  <si>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</si>
  <si>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</si>
  <si>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</si>
  <si>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</si>
  <si>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</si>
  <si>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</si>
  <si>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</si>
  <si>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</si>
  <si>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</si>
  <si>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</si>
  <si>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</si>
  <si>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</si>
  <si>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</si>
  <si>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</si>
  <si>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</si>
  <si>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</si>
  <si>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</si>
  <si>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</si>
  <si>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</si>
  <si>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</si>
  <si>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</si>
  <si>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</si>
  <si>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</si>
  <si>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</si>
  <si>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</si>
  <si>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</si>
  <si>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</si>
  <si>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</si>
  <si>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</si>
  <si>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</si>
  <si>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</si>
  <si>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</si>
  <si>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</si>
  <si>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</si>
  <si>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міського бюджету за 2014 рік станом на 31.10.2014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</si>
</sst>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44081.4</c:v>
                </c:pt>
                <c:pt idx="1">
                  <c:v>37246.4</c:v>
                </c:pt>
                <c:pt idx="2">
                  <c:v>1830.1999999999998</c:v>
                </c:pt>
                <c:pt idx="3">
                  <c:v>5004.8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33875.100000000006</c:v>
                </c:pt>
                <c:pt idx="1">
                  <c:v>29122.8</c:v>
                </c:pt>
                <c:pt idx="2">
                  <c:v>1195</c:v>
                </c:pt>
                <c:pt idx="3">
                  <c:v>3557.3000000000065</c:v>
                </c:pt>
              </c:numCache>
            </c:numRef>
          </c:val>
          <c:shape val="box"/>
        </c:ser>
        <c:shape val="box"/>
        <c:axId val="38673281"/>
        <c:axId val="12515210"/>
      </c:bar3DChart>
      <c:catAx>
        <c:axId val="3867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515210"/>
        <c:crosses val="autoZero"/>
        <c:auto val="1"/>
        <c:lblOffset val="100"/>
        <c:tickLblSkip val="1"/>
        <c:noMultiLvlLbl val="0"/>
      </c:catAx>
      <c:valAx>
        <c:axId val="12515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732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275237.7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218299.51</c:v>
                </c:pt>
                <c:pt idx="1">
                  <c:v>181769.79999999993</c:v>
                </c:pt>
                <c:pt idx="2">
                  <c:v>20</c:v>
                </c:pt>
                <c:pt idx="3">
                  <c:v>12768.900000000001</c:v>
                </c:pt>
                <c:pt idx="4">
                  <c:v>22201.699999999997</c:v>
                </c:pt>
                <c:pt idx="5">
                  <c:v>186.9</c:v>
                </c:pt>
                <c:pt idx="6">
                  <c:v>1352.2100000000805</c:v>
                </c:pt>
              </c:numCache>
            </c:numRef>
          </c:val>
          <c:shape val="box"/>
        </c:ser>
        <c:shape val="box"/>
        <c:axId val="45528027"/>
        <c:axId val="7099060"/>
      </c:bar3DChart>
      <c:catAx>
        <c:axId val="4552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99060"/>
        <c:crosses val="autoZero"/>
        <c:auto val="1"/>
        <c:lblOffset val="100"/>
        <c:tickLblSkip val="1"/>
        <c:noMultiLvlLbl val="0"/>
      </c:catAx>
      <c:valAx>
        <c:axId val="7099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280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178507.1</c:v>
                </c:pt>
                <c:pt idx="1">
                  <c:v>134142.9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1395.4</c:v>
                </c:pt>
                <c:pt idx="6">
                  <c:v>12960.000000000016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151755.70000000004</c:v>
                </c:pt>
                <c:pt idx="1">
                  <c:v>123103.59999999999</c:v>
                </c:pt>
                <c:pt idx="2">
                  <c:v>4240.899999999999</c:v>
                </c:pt>
                <c:pt idx="3">
                  <c:v>2195.7</c:v>
                </c:pt>
                <c:pt idx="4">
                  <c:v>11374.099999999997</c:v>
                </c:pt>
                <c:pt idx="5">
                  <c:v>1160.3999999999999</c:v>
                </c:pt>
                <c:pt idx="6">
                  <c:v>9681.000000000055</c:v>
                </c:pt>
              </c:numCache>
            </c:numRef>
          </c:val>
          <c:shape val="box"/>
        </c:ser>
        <c:shape val="box"/>
        <c:axId val="63891541"/>
        <c:axId val="38152958"/>
      </c:bar3DChart>
      <c:catAx>
        <c:axId val="6389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52958"/>
        <c:crosses val="autoZero"/>
        <c:auto val="1"/>
        <c:lblOffset val="100"/>
        <c:tickLblSkip val="1"/>
        <c:noMultiLvlLbl val="0"/>
      </c:catAx>
      <c:valAx>
        <c:axId val="38152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915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27932.4</c:v>
                </c:pt>
                <c:pt idx="2">
                  <c:v>1735.2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6593.200000000002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28856.499999999993</c:v>
                </c:pt>
                <c:pt idx="1">
                  <c:v>22260.9</c:v>
                </c:pt>
                <c:pt idx="2">
                  <c:v>725.1999999999997</c:v>
                </c:pt>
                <c:pt idx="3">
                  <c:v>337.9</c:v>
                </c:pt>
                <c:pt idx="4">
                  <c:v>18</c:v>
                </c:pt>
                <c:pt idx="5">
                  <c:v>5514.499999999992</c:v>
                </c:pt>
              </c:numCache>
            </c:numRef>
          </c:val>
          <c:shape val="box"/>
        </c:ser>
        <c:shape val="box"/>
        <c:axId val="7832303"/>
        <c:axId val="3381864"/>
      </c:bar3DChart>
      <c:catAx>
        <c:axId val="783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1864"/>
        <c:crosses val="autoZero"/>
        <c:auto val="1"/>
        <c:lblOffset val="100"/>
        <c:tickLblSkip val="1"/>
        <c:noMultiLvlLbl val="0"/>
      </c:catAx>
      <c:valAx>
        <c:axId val="3381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323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8917.600000000002</c:v>
                </c:pt>
                <c:pt idx="1">
                  <c:v>5919.699999999999</c:v>
                </c:pt>
                <c:pt idx="2">
                  <c:v>2.1</c:v>
                </c:pt>
                <c:pt idx="3">
                  <c:v>123.50000000000001</c:v>
                </c:pt>
                <c:pt idx="4">
                  <c:v>250.19999999999987</c:v>
                </c:pt>
                <c:pt idx="5">
                  <c:v>2622.1000000000035</c:v>
                </c:pt>
              </c:numCache>
            </c:numRef>
          </c:val>
          <c:shape val="box"/>
        </c:ser>
        <c:shape val="box"/>
        <c:axId val="30436777"/>
        <c:axId val="5495538"/>
      </c:bar3DChart>
      <c:catAx>
        <c:axId val="3043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5538"/>
        <c:crosses val="autoZero"/>
        <c:auto val="1"/>
        <c:lblOffset val="100"/>
        <c:tickLblSkip val="2"/>
        <c:noMultiLvlLbl val="0"/>
      </c:catAx>
      <c:valAx>
        <c:axId val="5495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367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2604.2000000000003</c:v>
                </c:pt>
                <c:pt idx="1">
                  <c:v>1473.7</c:v>
                </c:pt>
                <c:pt idx="2">
                  <c:v>181.4</c:v>
                </c:pt>
                <c:pt idx="3">
                  <c:v>130.50000000000003</c:v>
                </c:pt>
                <c:pt idx="4">
                  <c:v>728.3000000000001</c:v>
                </c:pt>
                <c:pt idx="5">
                  <c:v>90.30000000000015</c:v>
                </c:pt>
              </c:numCache>
            </c:numRef>
          </c:val>
          <c:shape val="box"/>
        </c:ser>
        <c:shape val="box"/>
        <c:axId val="49459843"/>
        <c:axId val="42485404"/>
      </c:bar3DChart>
      <c:catAx>
        <c:axId val="4945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85404"/>
        <c:crosses val="autoZero"/>
        <c:auto val="1"/>
        <c:lblOffset val="100"/>
        <c:tickLblSkip val="1"/>
        <c:noMultiLvlLbl val="0"/>
      </c:catAx>
      <c:valAx>
        <c:axId val="42485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59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28072.400000000005</c:v>
                </c:pt>
              </c:numCache>
            </c:numRef>
          </c:val>
          <c:shape val="box"/>
        </c:ser>
        <c:shape val="box"/>
        <c:axId val="46824317"/>
        <c:axId val="18765670"/>
      </c:bar3DChart>
      <c:catAx>
        <c:axId val="46824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765670"/>
        <c:crosses val="autoZero"/>
        <c:auto val="1"/>
        <c:lblOffset val="100"/>
        <c:tickLblSkip val="1"/>
        <c:noMultiLvlLbl val="0"/>
      </c:catAx>
      <c:valAx>
        <c:axId val="18765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243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275237.7</c:v>
                </c:pt>
                <c:pt idx="1">
                  <c:v>178507.1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44081.4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218299.51</c:v>
                </c:pt>
                <c:pt idx="1">
                  <c:v>151755.70000000004</c:v>
                </c:pt>
                <c:pt idx="2">
                  <c:v>28856.499999999993</c:v>
                </c:pt>
                <c:pt idx="3">
                  <c:v>8917.600000000002</c:v>
                </c:pt>
                <c:pt idx="4">
                  <c:v>2604.2000000000003</c:v>
                </c:pt>
                <c:pt idx="5">
                  <c:v>33875.100000000006</c:v>
                </c:pt>
                <c:pt idx="6">
                  <c:v>28072.400000000005</c:v>
                </c:pt>
              </c:numCache>
            </c:numRef>
          </c:val>
          <c:shape val="box"/>
        </c:ser>
        <c:shape val="box"/>
        <c:axId val="34673303"/>
        <c:axId val="43624272"/>
      </c:bar3DChart>
      <c:catAx>
        <c:axId val="34673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24272"/>
        <c:crosses val="autoZero"/>
        <c:auto val="1"/>
        <c:lblOffset val="100"/>
        <c:tickLblSkip val="1"/>
        <c:noMultiLvlLbl val="0"/>
      </c:catAx>
      <c:valAx>
        <c:axId val="43624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33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430976.7</c:v>
                </c:pt>
                <c:pt idx="1">
                  <c:v>64495.399999999994</c:v>
                </c:pt>
                <c:pt idx="2">
                  <c:v>20516.600000000002</c:v>
                </c:pt>
                <c:pt idx="3">
                  <c:v>8131</c:v>
                </c:pt>
                <c:pt idx="4">
                  <c:v>7943.900000000001</c:v>
                </c:pt>
                <c:pt idx="5">
                  <c:v>92096.20000000004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368463.49999999994</c:v>
                </c:pt>
                <c:pt idx="1">
                  <c:v>36440.099999999984</c:v>
                </c:pt>
                <c:pt idx="2">
                  <c:v>15317.000000000004</c:v>
                </c:pt>
                <c:pt idx="3">
                  <c:v>6320.800000000001</c:v>
                </c:pt>
                <c:pt idx="4">
                  <c:v>4263.999999999999</c:v>
                </c:pt>
                <c:pt idx="5">
                  <c:v>61739.810000000216</c:v>
                </c:pt>
              </c:numCache>
            </c:numRef>
          </c:val>
          <c:shape val="box"/>
        </c:ser>
        <c:shape val="box"/>
        <c:axId val="57074129"/>
        <c:axId val="43905114"/>
      </c:bar3DChart>
      <c:catAx>
        <c:axId val="57074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05114"/>
        <c:crosses val="autoZero"/>
        <c:auto val="1"/>
        <c:lblOffset val="100"/>
        <c:tickLblSkip val="1"/>
        <c:noMultiLvlLbl val="0"/>
      </c:catAx>
      <c:valAx>
        <c:axId val="43905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1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233765.2+99+1778.8</f>
        <v>235643</v>
      </c>
      <c r="C6" s="53">
        <f>279531.5-5173.3+47.5+832</f>
        <v>275237.7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+0.4+1.4+11140.7</f>
        <v>229974.91</v>
      </c>
      <c r="E6" s="3">
        <f>D6/D137*100</f>
        <v>44.51917060409097</v>
      </c>
      <c r="F6" s="3">
        <f>D6/B6*100</f>
        <v>97.59462831486614</v>
      </c>
      <c r="G6" s="3">
        <f aca="true" t="shared" si="0" ref="G6:G41">D6/C6*100</f>
        <v>83.5550180807353</v>
      </c>
      <c r="H6" s="3">
        <f>B6-D6</f>
        <v>5668.0899999999965</v>
      </c>
      <c r="I6" s="3">
        <f aca="true" t="shared" si="1" ref="I6:I41">C6-D6</f>
        <v>45262.79000000001</v>
      </c>
    </row>
    <row r="7" spans="1:9" ht="18">
      <c r="A7" s="29" t="s">
        <v>3</v>
      </c>
      <c r="B7" s="49">
        <f>191676+99+1778.8</f>
        <v>193553.8</v>
      </c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</f>
        <v>192914.49999999994</v>
      </c>
      <c r="E7" s="1">
        <f>D7/D6*100</f>
        <v>83.88502032678258</v>
      </c>
      <c r="F7" s="1">
        <f>D7/B7*100</f>
        <v>99.66970423727147</v>
      </c>
      <c r="G7" s="1">
        <f t="shared" si="0"/>
        <v>89.26594114813558</v>
      </c>
      <c r="H7" s="1">
        <f>B7-D7</f>
        <v>639.3000000000466</v>
      </c>
      <c r="I7" s="1">
        <f t="shared" si="1"/>
        <v>23197.600000000064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0.1+0.1+0.3+0.3+2.7+0.7+1.1+1.4+0.5+0.7+1.7+0.4+0.5+1+0.2+0.1+2.9+0.1+0.2+1+0.8+0.9+1.8+0.5+1.6+2.2</f>
        <v>23.8</v>
      </c>
      <c r="E8" s="12">
        <f>D8/D6*100</f>
        <v>0.010348955022963157</v>
      </c>
      <c r="F8" s="1">
        <f>D8/B8*100</f>
        <v>53.36322869955157</v>
      </c>
      <c r="G8" s="1">
        <f t="shared" si="0"/>
        <v>53.36322869955157</v>
      </c>
      <c r="H8" s="1">
        <f aca="true" t="shared" si="2" ref="H8:H41">B8-D8</f>
        <v>20.8</v>
      </c>
      <c r="I8" s="1">
        <f t="shared" si="1"/>
        <v>20.8</v>
      </c>
    </row>
    <row r="9" spans="1:9" ht="18">
      <c r="A9" s="29" t="s">
        <v>1</v>
      </c>
      <c r="B9" s="49">
        <f>13670.2+157</f>
        <v>13827.2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</f>
        <v>13096.7</v>
      </c>
      <c r="E9" s="1">
        <f>D9/D6*100</f>
        <v>5.694838623917714</v>
      </c>
      <c r="F9" s="1">
        <f aca="true" t="shared" si="3" ref="F9:F39">D9/B9*100</f>
        <v>94.71693473732931</v>
      </c>
      <c r="G9" s="1">
        <f t="shared" si="0"/>
        <v>76.57232060899103</v>
      </c>
      <c r="H9" s="1">
        <f t="shared" si="2"/>
        <v>730.5</v>
      </c>
      <c r="I9" s="1">
        <f t="shared" si="1"/>
        <v>4007</v>
      </c>
    </row>
    <row r="10" spans="1:9" ht="18">
      <c r="A10" s="29" t="s">
        <v>0</v>
      </c>
      <c r="B10" s="49">
        <f>26051-157</f>
        <v>25894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</f>
        <v>22316.899999999998</v>
      </c>
      <c r="E10" s="1">
        <f>D10/D6*100</f>
        <v>9.704058586217078</v>
      </c>
      <c r="F10" s="1">
        <f t="shared" si="3"/>
        <v>86.18560284235728</v>
      </c>
      <c r="G10" s="1">
        <f t="shared" si="0"/>
        <v>56.57654231788163</v>
      </c>
      <c r="H10" s="1">
        <f t="shared" si="2"/>
        <v>3577.100000000002</v>
      </c>
      <c r="I10" s="1">
        <f t="shared" si="1"/>
        <v>17128.600000000002</v>
      </c>
    </row>
    <row r="11" spans="1:9" ht="18">
      <c r="A11" s="29" t="s">
        <v>15</v>
      </c>
      <c r="B11" s="49">
        <f>231.1+1.1</f>
        <v>232.2</v>
      </c>
      <c r="C11" s="50">
        <f>281.8-31.7</f>
        <v>250.10000000000002</v>
      </c>
      <c r="D11" s="51">
        <f>4+4+12.7+4+4+14.5+4+115.8+4+14.4+5.4+0.1+13.4+1</f>
        <v>201.3</v>
      </c>
      <c r="E11" s="1">
        <f>D11/D6*100</f>
        <v>0.08753128765220519</v>
      </c>
      <c r="F11" s="1">
        <f t="shared" si="3"/>
        <v>86.69250645994833</v>
      </c>
      <c r="G11" s="1">
        <f t="shared" si="0"/>
        <v>80.48780487804878</v>
      </c>
      <c r="H11" s="1">
        <f t="shared" si="2"/>
        <v>30.899999999999977</v>
      </c>
      <c r="I11" s="1">
        <f t="shared" si="1"/>
        <v>48.80000000000001</v>
      </c>
    </row>
    <row r="12" spans="1:9" ht="18.75" thickBot="1">
      <c r="A12" s="29" t="s">
        <v>35</v>
      </c>
      <c r="B12" s="50">
        <f>B6-B7-B8-B9-B10-B11</f>
        <v>2091.2000000000126</v>
      </c>
      <c r="C12" s="50">
        <f>C6-C7-C8-C9-C10-C11</f>
        <v>2281.700000000003</v>
      </c>
      <c r="D12" s="50">
        <f>D6-D7-D8-D9-D10-D11</f>
        <v>1421.7100000000603</v>
      </c>
      <c r="E12" s="1">
        <f>D12/D6*100</f>
        <v>0.6182022204074611</v>
      </c>
      <c r="F12" s="1">
        <f t="shared" si="3"/>
        <v>67.9853672532542</v>
      </c>
      <c r="G12" s="1">
        <f t="shared" si="0"/>
        <v>62.309243108211355</v>
      </c>
      <c r="H12" s="1">
        <f t="shared" si="2"/>
        <v>669.4899999999523</v>
      </c>
      <c r="I12" s="1">
        <f t="shared" si="1"/>
        <v>859.9899999999427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f>159644.3+739.4+4754.8+91.6</f>
        <v>165230.09999999998</v>
      </c>
      <c r="C17" s="53">
        <f>176050.5+1395.7+321.5+739.4</f>
        <v>178507.1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</f>
        <v>159102.40000000002</v>
      </c>
      <c r="E17" s="3">
        <f>D17/D137*100</f>
        <v>30.799476730397778</v>
      </c>
      <c r="F17" s="3">
        <f>D17/B17*100</f>
        <v>96.29141421569075</v>
      </c>
      <c r="G17" s="3">
        <f t="shared" si="0"/>
        <v>89.12945199378625</v>
      </c>
      <c r="H17" s="3">
        <f>B17-D17</f>
        <v>6127.699999999953</v>
      </c>
      <c r="I17" s="3">
        <f t="shared" si="1"/>
        <v>19404.699999999983</v>
      </c>
    </row>
    <row r="18" spans="1:9" ht="18">
      <c r="A18" s="29" t="s">
        <v>5</v>
      </c>
      <c r="B18" s="49">
        <f>124367.5+739.4+4641.9+91.6</f>
        <v>129840.4</v>
      </c>
      <c r="C18" s="50">
        <f>133077.8+325.7+739.4</f>
        <v>134142.9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</f>
        <v>128786.59999999999</v>
      </c>
      <c r="E18" s="1">
        <f>D18/D17*100</f>
        <v>80.94573054837637</v>
      </c>
      <c r="F18" s="1">
        <f t="shared" si="3"/>
        <v>99.18838820582808</v>
      </c>
      <c r="G18" s="1">
        <f t="shared" si="0"/>
        <v>96.007019380079</v>
      </c>
      <c r="H18" s="1">
        <f t="shared" si="2"/>
        <v>1053.800000000003</v>
      </c>
      <c r="I18" s="1">
        <f t="shared" si="1"/>
        <v>5356.300000000003</v>
      </c>
    </row>
    <row r="19" spans="1:9" ht="18">
      <c r="A19" s="29" t="s">
        <v>2</v>
      </c>
      <c r="B19" s="49">
        <f>6566.5+32.9</f>
        <v>6599.4</v>
      </c>
      <c r="C19" s="50">
        <f>7565.3-5.5+258.8+32.9</f>
        <v>7851.5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</f>
        <v>4897.699999999998</v>
      </c>
      <c r="E19" s="1">
        <f>D19/D17*100</f>
        <v>3.0783319421957165</v>
      </c>
      <c r="F19" s="1">
        <f t="shared" si="3"/>
        <v>74.21432251416793</v>
      </c>
      <c r="G19" s="1">
        <f t="shared" si="0"/>
        <v>62.37916321721961</v>
      </c>
      <c r="H19" s="1">
        <f t="shared" si="2"/>
        <v>1701.7000000000016</v>
      </c>
      <c r="I19" s="1">
        <f t="shared" si="1"/>
        <v>2953.800000000002</v>
      </c>
    </row>
    <row r="20" spans="1:9" ht="18">
      <c r="A20" s="29" t="s">
        <v>1</v>
      </c>
      <c r="B20" s="49">
        <v>2418.1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</f>
        <v>2280.2999999999997</v>
      </c>
      <c r="E20" s="1">
        <f>D20/D17*100</f>
        <v>1.4332279085670607</v>
      </c>
      <c r="F20" s="1">
        <f t="shared" si="3"/>
        <v>94.30131094661097</v>
      </c>
      <c r="G20" s="1">
        <f t="shared" si="0"/>
        <v>80.38849326658675</v>
      </c>
      <c r="H20" s="1">
        <f t="shared" si="2"/>
        <v>137.80000000000018</v>
      </c>
      <c r="I20" s="1">
        <f t="shared" si="1"/>
        <v>556.3000000000002</v>
      </c>
    </row>
    <row r="21" spans="1:9" ht="18">
      <c r="A21" s="29" t="s">
        <v>0</v>
      </c>
      <c r="B21" s="49">
        <v>13420.3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</f>
        <v>11692.999999999998</v>
      </c>
      <c r="E21" s="1">
        <f>D21/D17*100</f>
        <v>7.349354880881745</v>
      </c>
      <c r="F21" s="1">
        <f t="shared" si="3"/>
        <v>87.12919979434139</v>
      </c>
      <c r="G21" s="1">
        <f t="shared" si="0"/>
        <v>60.417700066137556</v>
      </c>
      <c r="H21" s="1">
        <f t="shared" si="2"/>
        <v>1727.300000000001</v>
      </c>
      <c r="I21" s="1">
        <f t="shared" si="1"/>
        <v>7660.6</v>
      </c>
    </row>
    <row r="22" spans="1:9" ht="18">
      <c r="A22" s="29" t="s">
        <v>15</v>
      </c>
      <c r="B22" s="49">
        <v>1201.4</v>
      </c>
      <c r="C22" s="50">
        <f>1388.5-4+10.9</f>
        <v>1395.4</v>
      </c>
      <c r="D22" s="51">
        <f>14.2+80.1+19.7+105+3.5+1.3+30+84.1+0.1+72.2+54.8+15.1+59.3+59.3+8.9+52.2+1.2+36.9+21.6+108.1+114.2+52.3+53.9+3.6+52.3+56.5+0.1</f>
        <v>1160.4999999999998</v>
      </c>
      <c r="E22" s="1">
        <f>D22/D17*100</f>
        <v>0.7294044590150743</v>
      </c>
      <c r="F22" s="1">
        <f t="shared" si="3"/>
        <v>96.59563842184116</v>
      </c>
      <c r="G22" s="1">
        <f t="shared" si="0"/>
        <v>83.16611724236776</v>
      </c>
      <c r="H22" s="1">
        <f t="shared" si="2"/>
        <v>40.90000000000032</v>
      </c>
      <c r="I22" s="1">
        <f t="shared" si="1"/>
        <v>234.90000000000032</v>
      </c>
    </row>
    <row r="23" spans="1:9" ht="18.75" thickBot="1">
      <c r="A23" s="29" t="s">
        <v>35</v>
      </c>
      <c r="B23" s="50">
        <f>B17-B18-B19-B20-B21-B22</f>
        <v>11750.499999999984</v>
      </c>
      <c r="C23" s="50">
        <f>C17-C18-C19-C20-C21-C22</f>
        <v>12927.100000000015</v>
      </c>
      <c r="D23" s="50">
        <f>D17-D18-D19-D20-D21-D22</f>
        <v>10284.300000000037</v>
      </c>
      <c r="E23" s="1">
        <f>D23/D17*100</f>
        <v>6.463950260964031</v>
      </c>
      <c r="F23" s="1">
        <f t="shared" si="3"/>
        <v>87.52223309646442</v>
      </c>
      <c r="G23" s="1">
        <f t="shared" si="0"/>
        <v>79.55612627735552</v>
      </c>
      <c r="H23" s="1">
        <f t="shared" si="2"/>
        <v>1466.1999999999462</v>
      </c>
      <c r="I23" s="1">
        <f t="shared" si="1"/>
        <v>2642.7999999999774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f>32175.3-361.4+0.7</f>
        <v>31814.6</v>
      </c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</f>
        <v>30074.899999999994</v>
      </c>
      <c r="E31" s="3">
        <f>D31/D137*100</f>
        <v>5.821981206562817</v>
      </c>
      <c r="F31" s="3">
        <f>D31/B31*100</f>
        <v>94.53175586051685</v>
      </c>
      <c r="G31" s="3">
        <f t="shared" si="0"/>
        <v>81.89150258813405</v>
      </c>
      <c r="H31" s="3">
        <f t="shared" si="2"/>
        <v>1739.7000000000044</v>
      </c>
      <c r="I31" s="3">
        <f t="shared" si="1"/>
        <v>6650.400000000009</v>
      </c>
    </row>
    <row r="32" spans="1:9" ht="18">
      <c r="A32" s="29" t="s">
        <v>3</v>
      </c>
      <c r="B32" s="49">
        <f>24397.2+42.9-63.4+0.7</f>
        <v>24377.4</v>
      </c>
      <c r="C32" s="50">
        <f>28976.1-761.1+77.4-360</f>
        <v>27932.4</v>
      </c>
      <c r="D32" s="51">
        <f>1119.5+1121.1+1039.4+104.2+1079.5+1133.4+1048+1163.9+1081.6+1130.3+1238-0.1+13.4+4.1+3118.3+55.1+2433-70.8+488+299.2+413.9+849.2+1170.6+1086.2+1141.9+47.1+1084.4</f>
        <v>23392.4</v>
      </c>
      <c r="E32" s="1">
        <f>D32/D31*100</f>
        <v>77.78047474804573</v>
      </c>
      <c r="F32" s="1">
        <f t="shared" si="3"/>
        <v>95.95937220540337</v>
      </c>
      <c r="G32" s="1">
        <f t="shared" si="0"/>
        <v>83.74647362919048</v>
      </c>
      <c r="H32" s="1">
        <f t="shared" si="2"/>
        <v>985</v>
      </c>
      <c r="I32" s="1">
        <f t="shared" si="1"/>
        <v>4540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1211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1+2.5+0.8+6+1.4+0.1+11.2+0.5+6.3-0.2+32.4+6.9+2.4+3.4+18.4+48+143.7+198.6+32.7+71.3+22.6+9.9+48+1.6+5.4+15.8+0.4+0.8+1.6+4.3+7.5-0.1+9.4+0.4+4.3-0.2+4.2+1.9+2.1+9.7</f>
        <v>736.9999999999998</v>
      </c>
      <c r="E34" s="1">
        <f>D34/D31*100</f>
        <v>2.450548464001543</v>
      </c>
      <c r="F34" s="1">
        <f t="shared" si="3"/>
        <v>60.858794384805925</v>
      </c>
      <c r="G34" s="1">
        <f t="shared" si="0"/>
        <v>42.47349008759796</v>
      </c>
      <c r="H34" s="1">
        <f t="shared" si="2"/>
        <v>474.0000000000002</v>
      </c>
      <c r="I34" s="1">
        <f t="shared" si="1"/>
        <v>998.2000000000003</v>
      </c>
    </row>
    <row r="35" spans="1:9" s="44" customFormat="1" ht="18.75">
      <c r="A35" s="23" t="s">
        <v>7</v>
      </c>
      <c r="B35" s="58">
        <f>576.6-184</f>
        <v>392.6</v>
      </c>
      <c r="C35" s="59">
        <f>715.3-279</f>
        <v>436.29999999999995</v>
      </c>
      <c r="D35" s="60">
        <f>38.5+5.5+3+4.5+22.1+25.5+8.2+45.3+17.5+1+24+2.2+10+60+29.8+5.1+15.7+15+5+20</f>
        <v>357.9</v>
      </c>
      <c r="E35" s="19">
        <f>D35/D31*100</f>
        <v>1.1900288945266653</v>
      </c>
      <c r="F35" s="19">
        <f t="shared" si="3"/>
        <v>91.1614875191034</v>
      </c>
      <c r="G35" s="19">
        <f t="shared" si="0"/>
        <v>82.03071281228513</v>
      </c>
      <c r="H35" s="19">
        <f t="shared" si="2"/>
        <v>34.700000000000045</v>
      </c>
      <c r="I35" s="19">
        <f t="shared" si="1"/>
        <v>78.39999999999998</v>
      </c>
    </row>
    <row r="36" spans="1:9" ht="18">
      <c r="A36" s="29" t="s">
        <v>15</v>
      </c>
      <c r="B36" s="49">
        <f>20.4+1</f>
        <v>21.4</v>
      </c>
      <c r="C36" s="50">
        <f>45.2-20+3</f>
        <v>28.200000000000003</v>
      </c>
      <c r="D36" s="50">
        <f>3.6+3.6+7.2+3.6</f>
        <v>18</v>
      </c>
      <c r="E36" s="1">
        <f>D36/D31*100</f>
        <v>0.05985057306923715</v>
      </c>
      <c r="F36" s="1">
        <f t="shared" si="3"/>
        <v>84.11214953271029</v>
      </c>
      <c r="G36" s="1">
        <f t="shared" si="0"/>
        <v>63.82978723404255</v>
      </c>
      <c r="H36" s="1">
        <f t="shared" si="2"/>
        <v>3.3999999999999986</v>
      </c>
      <c r="I36" s="1">
        <f t="shared" si="1"/>
        <v>10.200000000000003</v>
      </c>
    </row>
    <row r="37" spans="1:9" ht="18.75" thickBot="1">
      <c r="A37" s="29" t="s">
        <v>35</v>
      </c>
      <c r="B37" s="49">
        <f>B31-B32-B34-B35-B33-B36</f>
        <v>5812.199999999997</v>
      </c>
      <c r="C37" s="49">
        <f>C31-C32-C34-C35-C33-C36</f>
        <v>6593.200000000002</v>
      </c>
      <c r="D37" s="49">
        <f>D31-D32-D34-D35-D33-D36</f>
        <v>5569.599999999993</v>
      </c>
      <c r="E37" s="1">
        <f>D37/D31*100</f>
        <v>18.519097320356824</v>
      </c>
      <c r="F37" s="1">
        <f t="shared" si="3"/>
        <v>95.82602112797213</v>
      </c>
      <c r="G37" s="1">
        <f t="shared" si="0"/>
        <v>84.47491354729102</v>
      </c>
      <c r="H37" s="1">
        <f>B37-D37</f>
        <v>242.600000000004</v>
      </c>
      <c r="I37" s="1">
        <f t="shared" si="1"/>
        <v>1023.6000000000085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763.9</v>
      </c>
      <c r="C41" s="53">
        <f>1079.9+40.7-300</f>
        <v>820.6000000000001</v>
      </c>
      <c r="D41" s="54">
        <f>39.9+10-0.1+63.8+32.1+23.9+51.2+20.3+38.8+26.2+1.3+95+24+3.6+45.4+22.4</f>
        <v>497.8</v>
      </c>
      <c r="E41" s="3">
        <f>D41/D137*100</f>
        <v>0.09636548233334012</v>
      </c>
      <c r="F41" s="3">
        <f>D41/B41*100</f>
        <v>65.16559759130777</v>
      </c>
      <c r="G41" s="3">
        <f t="shared" si="0"/>
        <v>60.66292956373385</v>
      </c>
      <c r="H41" s="3">
        <f t="shared" si="2"/>
        <v>266.09999999999997</v>
      </c>
      <c r="I41" s="3">
        <f t="shared" si="1"/>
        <v>322.8000000000001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5050.9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</f>
        <v>4793.3</v>
      </c>
      <c r="E43" s="3">
        <f>D43/D137*100</f>
        <v>0.9279000933475275</v>
      </c>
      <c r="F43" s="3">
        <f>D43/B43*100</f>
        <v>94.8999188263478</v>
      </c>
      <c r="G43" s="3">
        <f aca="true" t="shared" si="4" ref="G43:G73">D43/C43*100</f>
        <v>78.51176046648759</v>
      </c>
      <c r="H43" s="3">
        <f>B43-D43</f>
        <v>257.59999999999945</v>
      </c>
      <c r="I43" s="3">
        <f aca="true" t="shared" si="5" ref="I43:I74">C43-D43</f>
        <v>1311.8999999999996</v>
      </c>
    </row>
    <row r="44" spans="1:9" ht="18">
      <c r="A44" s="29" t="s">
        <v>3</v>
      </c>
      <c r="B44" s="49">
        <v>4466.6</v>
      </c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</f>
        <v>4387.2</v>
      </c>
      <c r="E44" s="1">
        <f>D44/D43*100</f>
        <v>91.52775749483654</v>
      </c>
      <c r="F44" s="1">
        <f aca="true" t="shared" si="6" ref="F44:F71">D44/B44*100</f>
        <v>98.22236152778399</v>
      </c>
      <c r="G44" s="1">
        <f t="shared" si="4"/>
        <v>81.85990969138335</v>
      </c>
      <c r="H44" s="1">
        <f aca="true" t="shared" si="7" ref="H44:H71">B44-D44</f>
        <v>79.40000000000055</v>
      </c>
      <c r="I44" s="1">
        <f t="shared" si="5"/>
        <v>972.2000000000007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0.020862453841820876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30.6</v>
      </c>
      <c r="C46" s="50">
        <f>35.1+9.9</f>
        <v>45</v>
      </c>
      <c r="D46" s="51">
        <f>3.2+3.4-0.1+3.7+3.6+3.5+3.2+5.6</f>
        <v>26.099999999999994</v>
      </c>
      <c r="E46" s="1">
        <f>D46/D43*100</f>
        <v>0.5445100452715247</v>
      </c>
      <c r="F46" s="1">
        <f t="shared" si="6"/>
        <v>85.2941176470588</v>
      </c>
      <c r="G46" s="1">
        <f t="shared" si="4"/>
        <v>57.999999999999986</v>
      </c>
      <c r="H46" s="1">
        <f t="shared" si="7"/>
        <v>4.500000000000007</v>
      </c>
      <c r="I46" s="1">
        <f t="shared" si="5"/>
        <v>18.900000000000006</v>
      </c>
    </row>
    <row r="47" spans="1:9" ht="18">
      <c r="A47" s="29" t="s">
        <v>0</v>
      </c>
      <c r="B47" s="49">
        <v>271.7</v>
      </c>
      <c r="C47" s="50">
        <f>358+23.1+0.1</f>
        <v>381.20000000000005</v>
      </c>
      <c r="D47" s="51">
        <f>23.1+2.7+0.5+0.4+5.2+0.6+99.9+12.6+20.5-0.1+2+19.6+1.1+0.5+4.4+0.4+3.4+4+2.3+0.3+1.3+0.1+0.3</f>
        <v>205.10000000000005</v>
      </c>
      <c r="E47" s="1">
        <f>D47/D43*100</f>
        <v>4.278889282957462</v>
      </c>
      <c r="F47" s="1">
        <f t="shared" si="6"/>
        <v>75.48767022451234</v>
      </c>
      <c r="G47" s="1">
        <f t="shared" si="4"/>
        <v>53.803777544596024</v>
      </c>
      <c r="H47" s="1">
        <f t="shared" si="7"/>
        <v>66.59999999999994</v>
      </c>
      <c r="I47" s="1">
        <f t="shared" si="5"/>
        <v>176.1</v>
      </c>
    </row>
    <row r="48" spans="1:9" ht="18.75" thickBot="1">
      <c r="A48" s="29" t="s">
        <v>35</v>
      </c>
      <c r="B48" s="50">
        <f>B43-B44-B47-B46-B45</f>
        <v>280.99999999999926</v>
      </c>
      <c r="C48" s="50">
        <f>C43-C44-C47-C46-C45</f>
        <v>318.5999999999992</v>
      </c>
      <c r="D48" s="50">
        <f>D43-D44-D47-D46-D45</f>
        <v>173.90000000000032</v>
      </c>
      <c r="E48" s="1">
        <f>D48/D43*100</f>
        <v>3.627980723092657</v>
      </c>
      <c r="F48" s="1">
        <f t="shared" si="6"/>
        <v>61.88612099644156</v>
      </c>
      <c r="G48" s="1">
        <f t="shared" si="4"/>
        <v>54.582548650345494</v>
      </c>
      <c r="H48" s="1">
        <f t="shared" si="7"/>
        <v>107.09999999999894</v>
      </c>
      <c r="I48" s="1">
        <f t="shared" si="5"/>
        <v>144.6999999999989</v>
      </c>
    </row>
    <row r="49" spans="1:9" ht="18.75" thickBot="1">
      <c r="A49" s="28" t="s">
        <v>4</v>
      </c>
      <c r="B49" s="52">
        <v>9970.3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</f>
        <v>9423.600000000002</v>
      </c>
      <c r="E49" s="3">
        <f>D49/D137*100</f>
        <v>1.8242462019213823</v>
      </c>
      <c r="F49" s="3">
        <f>D49/B49*100</f>
        <v>94.51671464248822</v>
      </c>
      <c r="G49" s="3">
        <f t="shared" si="4"/>
        <v>77.6231034085106</v>
      </c>
      <c r="H49" s="3">
        <f>B49-D49</f>
        <v>546.6999999999971</v>
      </c>
      <c r="I49" s="3">
        <f t="shared" si="5"/>
        <v>2716.5999999999967</v>
      </c>
    </row>
    <row r="50" spans="1:9" ht="18">
      <c r="A50" s="29" t="s">
        <v>3</v>
      </c>
      <c r="B50" s="49">
        <f>6254.1+58.6</f>
        <v>6312.700000000001</v>
      </c>
      <c r="C50" s="50">
        <f>7727-234.9</f>
        <v>7492.1</v>
      </c>
      <c r="D50" s="51">
        <f>282.8+343.5+279.8+360.5+269.9+364.8-0.1+7.2+231.6+28.9+358.6+269.6+381.2-0.1+7.2+297.2+563.3+0.1+313.9+22.4+240.9+0.1+181.6+201.2+250.5+390.2-0.1+273+392.4</f>
        <v>6312.0999999999985</v>
      </c>
      <c r="E50" s="1">
        <f>D50/D49*100</f>
        <v>66.98183284519713</v>
      </c>
      <c r="F50" s="1">
        <f t="shared" si="6"/>
        <v>99.99049535064232</v>
      </c>
      <c r="G50" s="1">
        <f t="shared" si="4"/>
        <v>84.25007674750735</v>
      </c>
      <c r="H50" s="1">
        <f t="shared" si="7"/>
        <v>0.6000000000021828</v>
      </c>
      <c r="I50" s="1">
        <f t="shared" si="5"/>
        <v>1180.0000000000018</v>
      </c>
    </row>
    <row r="51" spans="1:9" ht="18">
      <c r="A51" s="29" t="s">
        <v>2</v>
      </c>
      <c r="B51" s="49">
        <v>6.5</v>
      </c>
      <c r="C51" s="50">
        <v>9.7</v>
      </c>
      <c r="D51" s="51">
        <f>0.5+0.8+0.8</f>
        <v>2.1</v>
      </c>
      <c r="E51" s="12">
        <f>D51/D49*100</f>
        <v>0.02228447726983318</v>
      </c>
      <c r="F51" s="1">
        <f t="shared" si="6"/>
        <v>32.30769230769231</v>
      </c>
      <c r="G51" s="1">
        <f t="shared" si="4"/>
        <v>21.64948453608248</v>
      </c>
      <c r="H51" s="1">
        <f t="shared" si="7"/>
        <v>4.4</v>
      </c>
      <c r="I51" s="1">
        <f t="shared" si="5"/>
        <v>7.6</v>
      </c>
    </row>
    <row r="52" spans="1:9" ht="18">
      <c r="A52" s="29" t="s">
        <v>1</v>
      </c>
      <c r="B52" s="49">
        <f>245.6-2-18.6</f>
        <v>225</v>
      </c>
      <c r="C52" s="50">
        <f>325-2</f>
        <v>323</v>
      </c>
      <c r="D52" s="51">
        <f>2.4+4.2+4.2+8.7+3.1+5.2-0.1+2.3+6.7+7.1+0.1+3.9+3.5+21.5+2.5-0.1+4.3+17.5+11.1+0.7-0.1+5.1+1.5+0.9+0.1+4.4+2.8+10.2+1.2</f>
        <v>134.9</v>
      </c>
      <c r="E52" s="1">
        <f>D52/D49*100</f>
        <v>1.4315123731907125</v>
      </c>
      <c r="F52" s="1">
        <f t="shared" si="6"/>
        <v>59.95555555555556</v>
      </c>
      <c r="G52" s="1">
        <f t="shared" si="4"/>
        <v>41.76470588235294</v>
      </c>
      <c r="H52" s="1">
        <f t="shared" si="7"/>
        <v>90.1</v>
      </c>
      <c r="I52" s="1">
        <f t="shared" si="5"/>
        <v>188.1</v>
      </c>
    </row>
    <row r="53" spans="1:9" ht="18">
      <c r="A53" s="29" t="s">
        <v>0</v>
      </c>
      <c r="B53" s="49">
        <f>311.9+2-30</f>
        <v>283.9</v>
      </c>
      <c r="C53" s="50">
        <f>534.1-3+2</f>
        <v>533.1</v>
      </c>
      <c r="D53" s="51">
        <f>6+11+5+10.4+0.1+20.8+16+0.1+76.5+39.2+7.7+0.3+8.1+0.1+0.2+12-0.1+0.1+4.7+0.1+6.4+2.7+8.2+0.3+5.7+1.7+0.9+0.1+5.2+0.5+0.2+3+0.1</f>
        <v>253.29999999999987</v>
      </c>
      <c r="E53" s="1">
        <f>D53/D49*100</f>
        <v>2.687932424975591</v>
      </c>
      <c r="F53" s="1">
        <f t="shared" si="6"/>
        <v>89.2215568862275</v>
      </c>
      <c r="G53" s="1">
        <f t="shared" si="4"/>
        <v>47.514537610204435</v>
      </c>
      <c r="H53" s="1">
        <f t="shared" si="7"/>
        <v>30.600000000000108</v>
      </c>
      <c r="I53" s="1">
        <f t="shared" si="5"/>
        <v>279.8000000000002</v>
      </c>
    </row>
    <row r="54" spans="1:9" ht="18.75" thickBot="1">
      <c r="A54" s="29" t="s">
        <v>35</v>
      </c>
      <c r="B54" s="50">
        <f>B49-B50-B53-B52-B51</f>
        <v>3142.1999999999985</v>
      </c>
      <c r="C54" s="50">
        <f>C49-C50-C53-C52-C51</f>
        <v>3782.2999999999984</v>
      </c>
      <c r="D54" s="50">
        <f>D49-D50-D53-D52-D51</f>
        <v>2721.200000000004</v>
      </c>
      <c r="E54" s="1">
        <f>D54/D49*100</f>
        <v>28.87643787936673</v>
      </c>
      <c r="F54" s="1">
        <f t="shared" si="6"/>
        <v>86.60174400101856</v>
      </c>
      <c r="G54" s="1">
        <f t="shared" si="4"/>
        <v>71.94564154086152</v>
      </c>
      <c r="H54" s="1">
        <f t="shared" si="7"/>
        <v>420.99999999999454</v>
      </c>
      <c r="I54" s="1">
        <f>C54-D54</f>
        <v>1061.0999999999945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2757.2</v>
      </c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</f>
        <v>2684.4000000000005</v>
      </c>
      <c r="E56" s="3">
        <f>D56/D137*100</f>
        <v>0.5196534768493738</v>
      </c>
      <c r="F56" s="3">
        <f>D56/B56*100</f>
        <v>97.35964021471061</v>
      </c>
      <c r="G56" s="3">
        <f t="shared" si="4"/>
        <v>86.45410628019326</v>
      </c>
      <c r="H56" s="3">
        <f>B56-D56</f>
        <v>72.79999999999927</v>
      </c>
      <c r="I56" s="3">
        <f t="shared" si="5"/>
        <v>420.59999999999945</v>
      </c>
    </row>
    <row r="57" spans="1:9" ht="18">
      <c r="A57" s="29" t="s">
        <v>3</v>
      </c>
      <c r="B57" s="49">
        <v>1575.5</v>
      </c>
      <c r="C57" s="50">
        <f>2589.6-887.6+7.9+86.2</f>
        <v>1796.1000000000001</v>
      </c>
      <c r="D57" s="51">
        <f>128-60.9+102.5+75.2+87.9+68.6+30+93+68.5+96.9-0.1+67+116.4+112.6+49.7+83+52.4+24.4+26.2+0.2+55.4+42.6+44.2+67.6+0.1+42.3+79.3</f>
        <v>1553</v>
      </c>
      <c r="E57" s="1">
        <f>D57/D56*100</f>
        <v>57.852779019520185</v>
      </c>
      <c r="F57" s="1">
        <f t="shared" si="6"/>
        <v>98.57188194224055</v>
      </c>
      <c r="G57" s="1">
        <f t="shared" si="4"/>
        <v>86.46511886865986</v>
      </c>
      <c r="H57" s="1">
        <f t="shared" si="7"/>
        <v>22.5</v>
      </c>
      <c r="I57" s="1">
        <f t="shared" si="5"/>
        <v>243.10000000000014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6.757562211294887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166.1</v>
      </c>
      <c r="C59" s="50">
        <f>297.4-9.5</f>
        <v>287.9</v>
      </c>
      <c r="D59" s="51">
        <f>4.5+4.5+30.5+35.2+10+24.5+10.2+0.1+1.9+1.8+3+1.2+0.9+0.8+1.4+0.5</f>
        <v>131.00000000000003</v>
      </c>
      <c r="E59" s="1">
        <f>D59/D56*100</f>
        <v>4.880047682908657</v>
      </c>
      <c r="F59" s="1">
        <f t="shared" si="6"/>
        <v>78.86815171583386</v>
      </c>
      <c r="G59" s="1">
        <f t="shared" si="4"/>
        <v>45.50191038555055</v>
      </c>
      <c r="H59" s="1">
        <f t="shared" si="7"/>
        <v>35.099999999999966</v>
      </c>
      <c r="I59" s="1">
        <f t="shared" si="5"/>
        <v>156.89999999999995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27.130829980628818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105.89999999999984</v>
      </c>
      <c r="C61" s="50">
        <f>C56-C57-C59-C60-C58</f>
        <v>111.29999999999981</v>
      </c>
      <c r="D61" s="50">
        <f>D56-D57-D59-D60-D58</f>
        <v>90.70000000000047</v>
      </c>
      <c r="E61" s="1">
        <f>D61/D56*100</f>
        <v>3.378781105647461</v>
      </c>
      <c r="F61" s="1">
        <f t="shared" si="6"/>
        <v>85.64683663833863</v>
      </c>
      <c r="G61" s="1">
        <f t="shared" si="4"/>
        <v>81.491464510333</v>
      </c>
      <c r="H61" s="1">
        <f t="shared" si="7"/>
        <v>15.199999999999363</v>
      </c>
      <c r="I61" s="1">
        <f t="shared" si="5"/>
        <v>20.59999999999934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296.5</v>
      </c>
      <c r="C66" s="53">
        <f>C67+C68</f>
        <v>375.7</v>
      </c>
      <c r="D66" s="54">
        <f>SUM(D67:D68)</f>
        <v>1.4</v>
      </c>
      <c r="E66" s="42">
        <f>D66/D137*100</f>
        <v>0.000271015820141977</v>
      </c>
      <c r="F66" s="113">
        <f>D66/B66*100</f>
        <v>0.4721753794266441</v>
      </c>
      <c r="G66" s="3">
        <f t="shared" si="4"/>
        <v>0.3726377428799574</v>
      </c>
      <c r="H66" s="3">
        <f>B66-D66</f>
        <v>295.1</v>
      </c>
      <c r="I66" s="3">
        <f t="shared" si="5"/>
        <v>374.3</v>
      </c>
    </row>
    <row r="67" spans="1:9" ht="18">
      <c r="A67" s="29" t="s">
        <v>8</v>
      </c>
      <c r="B67" s="49">
        <v>294.5</v>
      </c>
      <c r="C67" s="50">
        <v>257.4</v>
      </c>
      <c r="D67" s="51">
        <f>1.4</f>
        <v>1.4</v>
      </c>
      <c r="E67" s="1"/>
      <c r="F67" s="1">
        <f t="shared" si="6"/>
        <v>0.4753820033955857</v>
      </c>
      <c r="G67" s="1">
        <f t="shared" si="4"/>
        <v>0.5439005439005439</v>
      </c>
      <c r="H67" s="1">
        <f t="shared" si="7"/>
        <v>293.1</v>
      </c>
      <c r="I67" s="1">
        <f t="shared" si="5"/>
        <v>255.99999999999997</v>
      </c>
    </row>
    <row r="68" spans="1:9" ht="18.75" thickBot="1">
      <c r="A68" s="29" t="s">
        <v>9</v>
      </c>
      <c r="B68" s="49">
        <f>86.3-17.6-66.7</f>
        <v>1.9999999999999858</v>
      </c>
      <c r="C68" s="50">
        <f>202.6-17.6-66.7</f>
        <v>118.3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1.9999999999999858</v>
      </c>
      <c r="I68" s="1">
        <f t="shared" si="5"/>
        <v>118.3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333.3</v>
      </c>
      <c r="C74" s="69">
        <v>400</v>
      </c>
      <c r="D74" s="70"/>
      <c r="E74" s="48"/>
      <c r="F74" s="48"/>
      <c r="G74" s="48"/>
      <c r="H74" s="48">
        <f>B74-D74</f>
        <v>333.3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f>38287.9-451.1</f>
        <v>37836.8</v>
      </c>
      <c r="C87" s="53">
        <f>44816.4+146.6-881.6</f>
        <v>44081.4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</f>
        <v>35498.200000000004</v>
      </c>
      <c r="E87" s="3">
        <f>D87/D137*100</f>
        <v>6.871838418974235</v>
      </c>
      <c r="F87" s="3">
        <f aca="true" t="shared" si="10" ref="F87:F92">D87/B87*100</f>
        <v>93.81924475642761</v>
      </c>
      <c r="G87" s="3">
        <f t="shared" si="8"/>
        <v>80.52874908691649</v>
      </c>
      <c r="H87" s="3">
        <f aca="true" t="shared" si="11" ref="H87:H92">B87-D87</f>
        <v>2338.5999999999985</v>
      </c>
      <c r="I87" s="3">
        <f t="shared" si="9"/>
        <v>8583.199999999997</v>
      </c>
    </row>
    <row r="88" spans="1:9" ht="18">
      <c r="A88" s="29" t="s">
        <v>3</v>
      </c>
      <c r="B88" s="49">
        <f>32207.1-475.1</f>
        <v>31732</v>
      </c>
      <c r="C88" s="50">
        <f>38623.9-611.6-765.9</f>
        <v>37246.4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</f>
        <v>30699.6</v>
      </c>
      <c r="E88" s="1">
        <f>D88/D87*100</f>
        <v>86.48213148835714</v>
      </c>
      <c r="F88" s="1">
        <f t="shared" si="10"/>
        <v>96.7465019538636</v>
      </c>
      <c r="G88" s="1">
        <f t="shared" si="8"/>
        <v>82.42299926972807</v>
      </c>
      <c r="H88" s="1">
        <f t="shared" si="11"/>
        <v>1032.4000000000015</v>
      </c>
      <c r="I88" s="1">
        <f t="shared" si="9"/>
        <v>6546.800000000003</v>
      </c>
    </row>
    <row r="89" spans="1:9" ht="18">
      <c r="A89" s="29" t="s">
        <v>33</v>
      </c>
      <c r="B89" s="49">
        <f>1567.9-40</f>
        <v>1527.9</v>
      </c>
      <c r="C89" s="50">
        <f>1866.3+51.3-87.4</f>
        <v>1830.1999999999998</v>
      </c>
      <c r="D89" s="51">
        <f>125+55.5+51.3+1.7-0.1+10.4+5.3+280.6+162.7+2.2+25.3+117.8+56.8+64.4+1.4+31+7.8+37.2+1.9+36.4+8.8+1+3.9+10.1+30.1+1.8+10.7+4.2+23.3+14.3+12.2+6+2.6+0.2</f>
        <v>1203.8</v>
      </c>
      <c r="E89" s="1">
        <f>D89/D87*100</f>
        <v>3.3911578615253726</v>
      </c>
      <c r="F89" s="1">
        <f t="shared" si="10"/>
        <v>78.78787878787878</v>
      </c>
      <c r="G89" s="1">
        <f t="shared" si="8"/>
        <v>65.77423232433614</v>
      </c>
      <c r="H89" s="1">
        <f t="shared" si="11"/>
        <v>324.10000000000014</v>
      </c>
      <c r="I89" s="1">
        <f t="shared" si="9"/>
        <v>626.3999999999999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4576.900000000003</v>
      </c>
      <c r="C91" s="50">
        <f>C87-C88-C89-C90</f>
        <v>5004.8</v>
      </c>
      <c r="D91" s="50">
        <f>D87-D88-D89-D90</f>
        <v>3594.8000000000056</v>
      </c>
      <c r="E91" s="1">
        <f>D91/D87*100</f>
        <v>10.126710650117484</v>
      </c>
      <c r="F91" s="1">
        <f t="shared" si="10"/>
        <v>78.54224475081394</v>
      </c>
      <c r="G91" s="1">
        <f>D91/C91*100</f>
        <v>71.82704603580574</v>
      </c>
      <c r="H91" s="1">
        <f t="shared" si="11"/>
        <v>982.0999999999976</v>
      </c>
      <c r="I91" s="1">
        <f>C91-D91</f>
        <v>1409.9999999999945</v>
      </c>
    </row>
    <row r="92" spans="1:9" ht="19.5" thickBot="1">
      <c r="A92" s="14" t="s">
        <v>12</v>
      </c>
      <c r="B92" s="61">
        <v>37629.4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</f>
        <v>29255.000000000007</v>
      </c>
      <c r="E92" s="3">
        <f>D92/D137*100</f>
        <v>5.663262727323957</v>
      </c>
      <c r="F92" s="3">
        <f t="shared" si="10"/>
        <v>77.74506104269535</v>
      </c>
      <c r="G92" s="3">
        <f>D92/C92*100</f>
        <v>67.63786518204772</v>
      </c>
      <c r="H92" s="3">
        <f t="shared" si="11"/>
        <v>8374.399999999994</v>
      </c>
      <c r="I92" s="3">
        <f>C92-D92</f>
        <v>13997.399999999994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f>5190.9+17.6+66.7</f>
        <v>5275.2</v>
      </c>
      <c r="C98" s="106">
        <f>5290.2+873.6+17.6+66.7</f>
        <v>6248.1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</f>
        <v>4578.499999999998</v>
      </c>
      <c r="E98" s="25">
        <f>D98/D137*100</f>
        <v>0.8863185232286009</v>
      </c>
      <c r="F98" s="25">
        <f>D98/B98*100</f>
        <v>86.79291780406427</v>
      </c>
      <c r="G98" s="25">
        <f aca="true" t="shared" si="12" ref="G98:G135">D98/C98*100</f>
        <v>73.27827659608518</v>
      </c>
      <c r="H98" s="25">
        <f aca="true" t="shared" si="13" ref="H98:H103">B98-D98</f>
        <v>696.7000000000016</v>
      </c>
      <c r="I98" s="25">
        <f aca="true" t="shared" si="14" ref="I98:I135">C98-D98</f>
        <v>1669.6000000000022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0.3319864584470898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4816.4+17.6+66.7</f>
        <v>4900.7</v>
      </c>
      <c r="C100" s="51">
        <f>5711.4+17.6+66.7</f>
        <v>5795.7</v>
      </c>
      <c r="D100" s="51">
        <f>3302.1+5.1+16.7+151+216.3+17.4+13.8+53.7+7.6+119.5+15.5+6.4+75+28.9+153.8+9.3+9.1+11.7+14.3+26.2+6.6+3.9</f>
        <v>4263.900000000001</v>
      </c>
      <c r="E100" s="1">
        <f>D100/D98*100</f>
        <v>93.12875395872015</v>
      </c>
      <c r="F100" s="1">
        <f aca="true" t="shared" si="15" ref="F100:F135">D100/B100*100</f>
        <v>87.0059379272349</v>
      </c>
      <c r="G100" s="1">
        <f t="shared" si="12"/>
        <v>73.57006056214091</v>
      </c>
      <c r="H100" s="1">
        <f t="shared" si="13"/>
        <v>636.7999999999993</v>
      </c>
      <c r="I100" s="1">
        <f t="shared" si="14"/>
        <v>1531.7999999999993</v>
      </c>
    </row>
    <row r="101" spans="1:9" ht="54.75" thickBot="1">
      <c r="A101" s="99" t="s">
        <v>107</v>
      </c>
      <c r="B101" s="101">
        <v>307.2</v>
      </c>
      <c r="C101" s="101">
        <v>400.1</v>
      </c>
      <c r="D101" s="101">
        <f>17.7+41.2+3+5.2+16.9+34.4+10.6+13.9+13.1+2.6+3.8+6.5+29.2+10.8+9.4+3.9+11.8+1.3+6.7+3.9</f>
        <v>245.90000000000003</v>
      </c>
      <c r="E101" s="97">
        <f>D101/D98*100</f>
        <v>5.370754613956539</v>
      </c>
      <c r="F101" s="97">
        <f>D101/B101*100</f>
        <v>80.04557291666669</v>
      </c>
      <c r="G101" s="97">
        <f>D101/C101*100</f>
        <v>61.45963509122719</v>
      </c>
      <c r="H101" s="97">
        <f t="shared" si="13"/>
        <v>61.299999999999955</v>
      </c>
      <c r="I101" s="97">
        <f>C101-D101</f>
        <v>154.2</v>
      </c>
    </row>
    <row r="102" spans="1:9" ht="18.75" thickBot="1">
      <c r="A102" s="99" t="s">
        <v>35</v>
      </c>
      <c r="B102" s="101">
        <f>B98-B99-B100</f>
        <v>359.3000000000002</v>
      </c>
      <c r="C102" s="101">
        <f>C98-C99-C100</f>
        <v>437.2000000000007</v>
      </c>
      <c r="D102" s="101">
        <f>D98-D99-D100</f>
        <v>299.3999999999978</v>
      </c>
      <c r="E102" s="97">
        <f>D102/D98*100</f>
        <v>6.53925958283276</v>
      </c>
      <c r="F102" s="97">
        <f t="shared" si="15"/>
        <v>83.32869468410735</v>
      </c>
      <c r="G102" s="97">
        <f t="shared" si="12"/>
        <v>68.48124428179261</v>
      </c>
      <c r="H102" s="97">
        <f>B102-D102</f>
        <v>59.900000000002365</v>
      </c>
      <c r="I102" s="97">
        <f t="shared" si="14"/>
        <v>137.8000000000029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13962.199999999997</v>
      </c>
      <c r="C103" s="94">
        <f>SUM(C104:C134)-C111-C115+C135-C130-C131-C105-C108-C118-C119</f>
        <v>17161.1</v>
      </c>
      <c r="D103" s="94">
        <f>SUM(D104:D134)-D111-D115+D135-D130-D131-D105-D108-D118-D119</f>
        <v>10690.599999999999</v>
      </c>
      <c r="E103" s="95">
        <f>D103/D137*100</f>
        <v>2.069515519149871</v>
      </c>
      <c r="F103" s="95">
        <f>D103/B103*100</f>
        <v>76.56816261047686</v>
      </c>
      <c r="G103" s="95">
        <f t="shared" si="12"/>
        <v>62.295540495655864</v>
      </c>
      <c r="H103" s="95">
        <f t="shared" si="13"/>
        <v>3271.5999999999985</v>
      </c>
      <c r="I103" s="95">
        <f t="shared" si="14"/>
        <v>6470.5</v>
      </c>
    </row>
    <row r="104" spans="1:9" ht="37.5">
      <c r="A104" s="34" t="s">
        <v>69</v>
      </c>
      <c r="B104" s="79">
        <v>1046.4</v>
      </c>
      <c r="C104" s="75">
        <f>1869.9-400</f>
        <v>1469.9</v>
      </c>
      <c r="D104" s="80">
        <f>1.4+20.1+85.2+143.2+49+97.4+39.5+2.1+10+69.9+14+22.7+50+22.1+4.6+24.2+39.7</f>
        <v>695.1000000000001</v>
      </c>
      <c r="E104" s="6">
        <f>D104/D103*100</f>
        <v>6.501973696518439</v>
      </c>
      <c r="F104" s="6">
        <f t="shared" si="15"/>
        <v>66.427752293578</v>
      </c>
      <c r="G104" s="6">
        <f t="shared" si="12"/>
        <v>47.28893121981088</v>
      </c>
      <c r="H104" s="6">
        <f aca="true" t="shared" si="16" ref="H104:H135">B104-D104</f>
        <v>351.29999999999995</v>
      </c>
      <c r="I104" s="6">
        <f t="shared" si="14"/>
        <v>774.8</v>
      </c>
    </row>
    <row r="105" spans="1:9" ht="18">
      <c r="A105" s="29" t="s">
        <v>33</v>
      </c>
      <c r="B105" s="82">
        <v>580.5</v>
      </c>
      <c r="C105" s="51">
        <f>1242.6+0.7-337</f>
        <v>906.3</v>
      </c>
      <c r="D105" s="83">
        <f>1.4+85.2+143.2+49+2.1+10+14+22.7+19.6</f>
        <v>347.20000000000005</v>
      </c>
      <c r="E105" s="1"/>
      <c r="F105" s="1">
        <f t="shared" si="15"/>
        <v>59.81050818260122</v>
      </c>
      <c r="G105" s="1">
        <f t="shared" si="12"/>
        <v>38.30961050424805</v>
      </c>
      <c r="H105" s="1">
        <f t="shared" si="16"/>
        <v>233.29999999999995</v>
      </c>
      <c r="I105" s="1">
        <f t="shared" si="14"/>
        <v>559.0999999999999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4.7+37.5+79.8</f>
        <v>122</v>
      </c>
      <c r="E106" s="6">
        <f>D106/D103*100</f>
        <v>1.1411894561577463</v>
      </c>
      <c r="F106" s="6">
        <f>D106/B106*100</f>
        <v>14.22740524781341</v>
      </c>
      <c r="G106" s="6">
        <f t="shared" si="12"/>
        <v>14.22740524781341</v>
      </c>
      <c r="H106" s="6">
        <f t="shared" si="16"/>
        <v>735.5</v>
      </c>
      <c r="I106" s="6">
        <f t="shared" si="14"/>
        <v>735.5</v>
      </c>
    </row>
    <row r="107" spans="1:9" ht="34.5" customHeight="1">
      <c r="A107" s="17" t="s">
        <v>78</v>
      </c>
      <c r="B107" s="81">
        <f>29.7+27</f>
        <v>56.7</v>
      </c>
      <c r="C107" s="68">
        <f>36.5+27</f>
        <v>63.5</v>
      </c>
      <c r="D107" s="80">
        <f>7.4</f>
        <v>7.4</v>
      </c>
      <c r="E107" s="6">
        <f>D107/D103*100</f>
        <v>0.0692196883243223</v>
      </c>
      <c r="F107" s="6">
        <f t="shared" si="15"/>
        <v>13.051146384479717</v>
      </c>
      <c r="G107" s="6">
        <f t="shared" si="12"/>
        <v>11.653543307086615</v>
      </c>
      <c r="H107" s="6">
        <f t="shared" si="16"/>
        <v>49.300000000000004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62.8</v>
      </c>
      <c r="C109" s="68">
        <v>75.5</v>
      </c>
      <c r="D109" s="80">
        <f>5.5+5.5+5.5-0.1+5.5+5.5+5.5+5.5-0.1+5.5+5.5</f>
        <v>49.3</v>
      </c>
      <c r="E109" s="6">
        <f>D109/D103*100</f>
        <v>0.4611527884309581</v>
      </c>
      <c r="F109" s="6">
        <f t="shared" si="15"/>
        <v>78.5031847133758</v>
      </c>
      <c r="G109" s="6">
        <f t="shared" si="12"/>
        <v>65.2980132450331</v>
      </c>
      <c r="H109" s="6">
        <f t="shared" si="16"/>
        <v>13.5</v>
      </c>
      <c r="I109" s="6">
        <f t="shared" si="14"/>
        <v>26.200000000000003</v>
      </c>
    </row>
    <row r="110" spans="1:9" ht="37.5">
      <c r="A110" s="17" t="s">
        <v>47</v>
      </c>
      <c r="B110" s="81">
        <v>866.1</v>
      </c>
      <c r="C110" s="68">
        <v>1050</v>
      </c>
      <c r="D110" s="80">
        <f>149.7+2.5+4.1+81.3+2.1+67.3+8+8.2+93.7+3.3+1.1+74.6+81.4+0.6+75.3+2.1+80.5+10.7</f>
        <v>746.5</v>
      </c>
      <c r="E110" s="6">
        <f>D110/D103*100</f>
        <v>6.982769910014406</v>
      </c>
      <c r="F110" s="6">
        <f t="shared" si="15"/>
        <v>86.19097101951276</v>
      </c>
      <c r="G110" s="6">
        <f t="shared" si="12"/>
        <v>71.0952380952381</v>
      </c>
      <c r="H110" s="6">
        <f t="shared" si="16"/>
        <v>119.60000000000002</v>
      </c>
      <c r="I110" s="6">
        <f t="shared" si="14"/>
        <v>303.5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f>74.5-10</f>
        <v>64.5</v>
      </c>
      <c r="C112" s="60">
        <f>51.6+22.9-10</f>
        <v>64.5</v>
      </c>
      <c r="D112" s="84">
        <f>22.9</f>
        <v>22.9</v>
      </c>
      <c r="E112" s="19">
        <f>D112/D103*100</f>
        <v>0.2142068733279704</v>
      </c>
      <c r="F112" s="6">
        <f t="shared" si="15"/>
        <v>35.50387596899224</v>
      </c>
      <c r="G112" s="19">
        <f t="shared" si="12"/>
        <v>35.50387596899224</v>
      </c>
      <c r="H112" s="19">
        <f t="shared" si="16"/>
        <v>41.6</v>
      </c>
      <c r="I112" s="19">
        <f t="shared" si="14"/>
        <v>41.6</v>
      </c>
    </row>
    <row r="113" spans="1:9" ht="37.5">
      <c r="A113" s="17" t="s">
        <v>60</v>
      </c>
      <c r="B113" s="81">
        <v>192.9</v>
      </c>
      <c r="C113" s="68">
        <f>488.6-250</f>
        <v>238.60000000000002</v>
      </c>
      <c r="D113" s="80">
        <f>4.9+70</f>
        <v>74.9</v>
      </c>
      <c r="E113" s="6">
        <f>D113/D103*100</f>
        <v>0.7006154939853705</v>
      </c>
      <c r="F113" s="6">
        <f>D113/B113*100</f>
        <v>38.828408501814415</v>
      </c>
      <c r="G113" s="6">
        <f t="shared" si="12"/>
        <v>31.391450125733446</v>
      </c>
      <c r="H113" s="6">
        <f t="shared" si="16"/>
        <v>118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174.9</v>
      </c>
      <c r="C114" s="60">
        <f>153.4+26.9</f>
        <v>180.3</v>
      </c>
      <c r="D114" s="80">
        <f>13.5+13.4+14.3+0.8+6.9+0.4+13.5-0.1+0.8+0.5+2+13.5-0.1+0.1+13.9+0.3+2.4+13.5+0.3+6.3+13.5+3.9+0.8+13.5</f>
        <v>147.9</v>
      </c>
      <c r="E114" s="6">
        <f>D114/D103*100</f>
        <v>1.3834583652928742</v>
      </c>
      <c r="F114" s="6">
        <f t="shared" si="15"/>
        <v>84.56260720411663</v>
      </c>
      <c r="G114" s="6">
        <f t="shared" si="12"/>
        <v>82.02995008319466</v>
      </c>
      <c r="H114" s="6">
        <f t="shared" si="16"/>
        <v>27</v>
      </c>
      <c r="I114" s="6">
        <f t="shared" si="14"/>
        <v>32.400000000000006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13.5+13.4+13.5+13.5+13.4+13.5+13.5+13.5+13.5</f>
        <v>121.3</v>
      </c>
      <c r="E115" s="1"/>
      <c r="F115" s="1">
        <f t="shared" si="15"/>
        <v>81.84885290148448</v>
      </c>
      <c r="G115" s="1">
        <f t="shared" si="12"/>
        <v>81.84885290148448</v>
      </c>
      <c r="H115" s="1">
        <f t="shared" si="16"/>
        <v>26.89999999999999</v>
      </c>
      <c r="I115" s="1">
        <f t="shared" si="14"/>
        <v>26.89999999999999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674.7</v>
      </c>
      <c r="C117" s="60">
        <f>94.7+700</f>
        <v>794.7</v>
      </c>
      <c r="D117" s="84">
        <f>16.2+3.7+20.7+6.7+10.5</f>
        <v>57.8</v>
      </c>
      <c r="E117" s="19">
        <f>D117/D103*100</f>
        <v>0.5406618898845715</v>
      </c>
      <c r="F117" s="6">
        <f t="shared" si="15"/>
        <v>8.566770416481399</v>
      </c>
      <c r="G117" s="6">
        <f t="shared" si="12"/>
        <v>7.27318484962879</v>
      </c>
      <c r="H117" s="6">
        <f t="shared" si="16"/>
        <v>616.9000000000001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v>1661.4</v>
      </c>
      <c r="C120" s="60">
        <v>1700.1</v>
      </c>
      <c r="D120" s="84">
        <f>196.6+25+11.8+12.7+6.1+3.1+261.8+113.5+10.8+196.3+110+87.9+5.6</f>
        <v>1041.2</v>
      </c>
      <c r="E120" s="19">
        <f>D120/D103*100</f>
        <v>9.739397227470864</v>
      </c>
      <c r="F120" s="6">
        <f t="shared" si="15"/>
        <v>62.670037317924645</v>
      </c>
      <c r="G120" s="6">
        <f t="shared" si="12"/>
        <v>61.243456267278404</v>
      </c>
      <c r="H120" s="6">
        <f t="shared" si="16"/>
        <v>620.2</v>
      </c>
      <c r="I120" s="6">
        <f t="shared" si="14"/>
        <v>658.8999999999999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0.04115765251716461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0.46021738723738614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18.3+9.7+14.1+4</f>
        <v>46.1</v>
      </c>
      <c r="E124" s="19">
        <f>D124/D103*100</f>
        <v>0.4312199502366566</v>
      </c>
      <c r="F124" s="6">
        <f t="shared" si="15"/>
        <v>54.42739079102715</v>
      </c>
      <c r="G124" s="6">
        <f t="shared" si="12"/>
        <v>54.42739079102715</v>
      </c>
      <c r="H124" s="6">
        <f t="shared" si="16"/>
        <v>38.6</v>
      </c>
      <c r="I124" s="6">
        <f t="shared" si="14"/>
        <v>38.6</v>
      </c>
    </row>
    <row r="125" spans="1:9" s="2" customFormat="1" ht="18.75">
      <c r="A125" s="17" t="s">
        <v>75</v>
      </c>
      <c r="B125" s="81">
        <v>164.5</v>
      </c>
      <c r="C125" s="60">
        <v>178.8</v>
      </c>
      <c r="D125" s="84">
        <f>7.2+1.4+9.3+6.8+7.7+4.3+1.8+6+21.8+13.1+2.5+17+2.4+20.7+0.2+12.9</f>
        <v>135.1</v>
      </c>
      <c r="E125" s="19">
        <f>D125/D103*100</f>
        <v>1.263727012515668</v>
      </c>
      <c r="F125" s="6">
        <f t="shared" si="15"/>
        <v>82.12765957446808</v>
      </c>
      <c r="G125" s="6">
        <f t="shared" si="12"/>
        <v>75.5592841163311</v>
      </c>
      <c r="H125" s="6">
        <f t="shared" si="16"/>
        <v>29.400000000000006</v>
      </c>
      <c r="I125" s="6">
        <f t="shared" si="14"/>
        <v>43.70000000000002</v>
      </c>
    </row>
    <row r="126" spans="1:9" s="2" customFormat="1" ht="35.25" customHeight="1">
      <c r="A126" s="17" t="s">
        <v>74</v>
      </c>
      <c r="B126" s="81">
        <v>46.8</v>
      </c>
      <c r="C126" s="60">
        <v>67.6</v>
      </c>
      <c r="D126" s="84">
        <f>0.5+1.5+0.1+14.8</f>
        <v>16.900000000000002</v>
      </c>
      <c r="E126" s="19">
        <f>D126/D103*100</f>
        <v>0.15808280171365502</v>
      </c>
      <c r="F126" s="6">
        <f t="shared" si="15"/>
        <v>36.111111111111114</v>
      </c>
      <c r="G126" s="6">
        <f t="shared" si="12"/>
        <v>25.000000000000007</v>
      </c>
      <c r="H126" s="6">
        <f t="shared" si="16"/>
        <v>29.899999999999995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f>60-40</f>
        <v>20</v>
      </c>
      <c r="C127" s="60">
        <f>60-40</f>
        <v>20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20</v>
      </c>
      <c r="I127" s="6">
        <f t="shared" si="14"/>
        <v>20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727.1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</f>
        <v>716.1000000000003</v>
      </c>
      <c r="E129" s="19">
        <f>D129/D103*100</f>
        <v>6.698407947168544</v>
      </c>
      <c r="F129" s="6">
        <f t="shared" si="15"/>
        <v>98.48714069591531</v>
      </c>
      <c r="G129" s="6">
        <f t="shared" si="12"/>
        <v>82.48099516240501</v>
      </c>
      <c r="H129" s="6">
        <f t="shared" si="16"/>
        <v>10.999999999999773</v>
      </c>
      <c r="I129" s="6">
        <f t="shared" si="14"/>
        <v>152.0999999999998</v>
      </c>
    </row>
    <row r="130" spans="1:9" s="39" customFormat="1" ht="18">
      <c r="A130" s="40" t="s">
        <v>54</v>
      </c>
      <c r="B130" s="82">
        <v>630.1</v>
      </c>
      <c r="C130" s="51">
        <v>747.1</v>
      </c>
      <c r="D130" s="83">
        <f>21.4+1.2+34.6+22.6+31.2+22.6+44.8+0.2+32.7+30.6+29.7+33.6+24.3+38.4+29.7+36.6+5.6+24.5+36.9+39.8+25+0.6+28.8+33.8</f>
        <v>629.1999999999999</v>
      </c>
      <c r="E130" s="1">
        <f>D130/D129*100</f>
        <v>87.86482334869427</v>
      </c>
      <c r="F130" s="1">
        <f>D130/B130*100</f>
        <v>99.85716552928106</v>
      </c>
      <c r="G130" s="1">
        <f t="shared" si="12"/>
        <v>84.21898005621736</v>
      </c>
      <c r="H130" s="1">
        <f t="shared" si="16"/>
        <v>0.900000000000091</v>
      </c>
      <c r="I130" s="1">
        <f t="shared" si="14"/>
        <v>117.90000000000009</v>
      </c>
    </row>
    <row r="131" spans="1:9" s="39" customFormat="1" ht="18">
      <c r="A131" s="29" t="s">
        <v>33</v>
      </c>
      <c r="B131" s="82">
        <v>15.4</v>
      </c>
      <c r="C131" s="51">
        <f>27.4-3</f>
        <v>24.4</v>
      </c>
      <c r="D131" s="83">
        <f>3.4+3+2.7+1.6-0.1+0.1+0.1+0.1+0.1+0.1</f>
        <v>11.1</v>
      </c>
      <c r="E131" s="1">
        <f>D131/D129*100</f>
        <v>1.5500628403854204</v>
      </c>
      <c r="F131" s="1">
        <f>D131/B131*100</f>
        <v>72.07792207792207</v>
      </c>
      <c r="G131" s="1">
        <f>D131/C131*100</f>
        <v>45.49180327868852</v>
      </c>
      <c r="H131" s="1">
        <f t="shared" si="16"/>
        <v>4.300000000000001</v>
      </c>
      <c r="I131" s="1">
        <f t="shared" si="14"/>
        <v>13.299999999999999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58.76190298018821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4.450638879015211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20631.1</v>
      </c>
      <c r="C136" s="85">
        <f>C41+C66+C69+C74+C76+C84+C98+C103+C96+C81+C94</f>
        <v>25005.5</v>
      </c>
      <c r="D136" s="60">
        <f>D41+D66+D69+D74+D76+D84+D98+D103+D96+D81+D94</f>
        <v>15768.299999999996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546563.3999999999</v>
      </c>
      <c r="C137" s="54">
        <f>C6+C17+C31+C41+C49+C56+C66+C69+C74+C76+C84+C87+C92+C98+C103+C96+C81+C94+C43</f>
        <v>624159.7999999999</v>
      </c>
      <c r="D137" s="54">
        <f>D6+D17+D31+D41+D49+D56+D66+D69+D74+D76+D84+D87+D92+D98+D103+D96+D81+D94+D43</f>
        <v>516575.01000000007</v>
      </c>
      <c r="E137" s="38">
        <v>100</v>
      </c>
      <c r="F137" s="3">
        <f>D137/B137*100</f>
        <v>94.51328244811126</v>
      </c>
      <c r="G137" s="3">
        <f aca="true" t="shared" si="17" ref="G137:G143">D137/C137*100</f>
        <v>82.76326190824852</v>
      </c>
      <c r="H137" s="3">
        <f aca="true" t="shared" si="18" ref="H137:H143">B137-D137</f>
        <v>29988.38999999984</v>
      </c>
      <c r="I137" s="3">
        <f aca="true" t="shared" si="19" ref="I137:I143">C137-D137</f>
        <v>107584.78999999986</v>
      </c>
      <c r="K137" s="46"/>
      <c r="L137" s="47"/>
    </row>
    <row r="138" spans="1:12" ht="18.75">
      <c r="A138" s="23" t="s">
        <v>5</v>
      </c>
      <c r="B138" s="67">
        <f>B7+B18+B32+B50+B57+B88+B111+B115+B44+B130</f>
        <v>392636.69999999995</v>
      </c>
      <c r="C138" s="67">
        <f>C7+C18+C32+C50+C57+C88+C111+C115+C44+C130</f>
        <v>430976.7</v>
      </c>
      <c r="D138" s="67">
        <f>D7+D18+D32+D50+D57+D88+D111+D115+D44+D130</f>
        <v>388795.8999999999</v>
      </c>
      <c r="E138" s="6">
        <f>D138/D137*100</f>
        <v>75.2641712188129</v>
      </c>
      <c r="F138" s="6">
        <f aca="true" t="shared" si="20" ref="F138:F149">D138/B138*100</f>
        <v>99.02179291951056</v>
      </c>
      <c r="G138" s="6">
        <f t="shared" si="17"/>
        <v>90.21274235938971</v>
      </c>
      <c r="H138" s="6">
        <f t="shared" si="18"/>
        <v>3840.8000000000466</v>
      </c>
      <c r="I138" s="18">
        <f t="shared" si="19"/>
        <v>42180.800000000105</v>
      </c>
      <c r="K138" s="46"/>
      <c r="L138" s="47"/>
    </row>
    <row r="139" spans="1:12" ht="18.75">
      <c r="A139" s="23" t="s">
        <v>0</v>
      </c>
      <c r="B139" s="68">
        <f>B10+B21+B34+B53+B59+B89+B47+B131+B105+B108</f>
        <v>43370.8</v>
      </c>
      <c r="C139" s="68">
        <f>C10+C21+C34+C53+C59+C89+C47+C131+C105+C108</f>
        <v>64497.399999999994</v>
      </c>
      <c r="D139" s="68">
        <f>D10+D21+D34+D53+D59+D89+D47+D131+D105+D108</f>
        <v>36898.399999999994</v>
      </c>
      <c r="E139" s="6">
        <f>D139/D137*100</f>
        <v>7.142892955661945</v>
      </c>
      <c r="F139" s="6">
        <f t="shared" si="20"/>
        <v>85.07659531297553</v>
      </c>
      <c r="G139" s="6">
        <f t="shared" si="17"/>
        <v>57.209127809803185</v>
      </c>
      <c r="H139" s="6">
        <f t="shared" si="18"/>
        <v>6472.400000000009</v>
      </c>
      <c r="I139" s="18">
        <f t="shared" si="19"/>
        <v>27599</v>
      </c>
      <c r="K139" s="46"/>
      <c r="L139" s="103"/>
    </row>
    <row r="140" spans="1:12" ht="18.75">
      <c r="A140" s="23" t="s">
        <v>1</v>
      </c>
      <c r="B140" s="67">
        <f>B20+B9+B52+B46+B58+B33+B99+B119</f>
        <v>16707.200000000004</v>
      </c>
      <c r="C140" s="67">
        <f>C20+C9+C52+C46+C58+C33+C99+C119</f>
        <v>20514.600000000002</v>
      </c>
      <c r="D140" s="67">
        <f>D20+D9+D52+D46+D58+D33+D99+D119</f>
        <v>15740.800000000001</v>
      </c>
      <c r="E140" s="6">
        <f>D140/D137*100</f>
        <v>3.0471470154934517</v>
      </c>
      <c r="F140" s="6">
        <f t="shared" si="20"/>
        <v>94.21566749664814</v>
      </c>
      <c r="G140" s="6">
        <f t="shared" si="17"/>
        <v>76.72974369473448</v>
      </c>
      <c r="H140" s="6">
        <f t="shared" si="18"/>
        <v>966.4000000000033</v>
      </c>
      <c r="I140" s="18">
        <f t="shared" si="19"/>
        <v>4773.800000000001</v>
      </c>
      <c r="K140" s="46"/>
      <c r="L140" s="47"/>
    </row>
    <row r="141" spans="1:12" ht="21" customHeight="1">
      <c r="A141" s="23" t="s">
        <v>15</v>
      </c>
      <c r="B141" s="67">
        <f>B11+B22+B100+B60+B36+B90</f>
        <v>7084</v>
      </c>
      <c r="C141" s="67">
        <f>C11+C22+C100+C60+C36+C90</f>
        <v>8197.7</v>
      </c>
      <c r="D141" s="67">
        <f>D11+D22+D100+D60+D36+D90</f>
        <v>6372.000000000001</v>
      </c>
      <c r="E141" s="6">
        <f>D141/D137*100</f>
        <v>1.2335091471033413</v>
      </c>
      <c r="F141" s="6">
        <f t="shared" si="20"/>
        <v>89.9491812535291</v>
      </c>
      <c r="G141" s="6">
        <f t="shared" si="17"/>
        <v>77.7291191431743</v>
      </c>
      <c r="H141" s="6">
        <f t="shared" si="18"/>
        <v>711.9999999999991</v>
      </c>
      <c r="I141" s="18">
        <f t="shared" si="19"/>
        <v>1825.6999999999998</v>
      </c>
      <c r="K141" s="46"/>
      <c r="L141" s="103"/>
    </row>
    <row r="142" spans="1:12" ht="18.75">
      <c r="A142" s="23" t="s">
        <v>2</v>
      </c>
      <c r="B142" s="67">
        <f>B8+B19+B45+B51+B118</f>
        <v>6721.5</v>
      </c>
      <c r="C142" s="67">
        <f>C8+C19+C45+C51+C118</f>
        <v>7976.8</v>
      </c>
      <c r="D142" s="67">
        <f>D8+D19+D45+D51+D118</f>
        <v>4924.5999999999985</v>
      </c>
      <c r="E142" s="6">
        <f>D142/D137*100</f>
        <v>0.9533175056222711</v>
      </c>
      <c r="F142" s="6">
        <f t="shared" si="20"/>
        <v>73.2663839916685</v>
      </c>
      <c r="G142" s="6">
        <f t="shared" si="17"/>
        <v>61.73653595426736</v>
      </c>
      <c r="H142" s="6">
        <f t="shared" si="18"/>
        <v>1796.9000000000015</v>
      </c>
      <c r="I142" s="18">
        <f t="shared" si="19"/>
        <v>3052.2000000000016</v>
      </c>
      <c r="K142" s="46"/>
      <c r="L142" s="47"/>
    </row>
    <row r="143" spans="1:12" ht="19.5" thickBot="1">
      <c r="A143" s="23" t="s">
        <v>35</v>
      </c>
      <c r="B143" s="67">
        <f>B137-B138-B139-B140-B141-B142</f>
        <v>80043.19999999995</v>
      </c>
      <c r="C143" s="67">
        <f>C137-C138-C139-C140-C141-C142</f>
        <v>91996.59999999992</v>
      </c>
      <c r="D143" s="67">
        <f>D137-D138-D139-D140-D141-D142</f>
        <v>63843.310000000165</v>
      </c>
      <c r="E143" s="6">
        <f>D143/D137*100</f>
        <v>12.358962157306092</v>
      </c>
      <c r="F143" s="6">
        <f t="shared" si="20"/>
        <v>79.76106652407725</v>
      </c>
      <c r="G143" s="43">
        <f t="shared" si="17"/>
        <v>69.39746686290604</v>
      </c>
      <c r="H143" s="6">
        <f t="shared" si="18"/>
        <v>16199.889999999788</v>
      </c>
      <c r="I143" s="6">
        <f t="shared" si="19"/>
        <v>28153.289999999753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f>63538+234.4-632+23</f>
        <v>63163.4</v>
      </c>
      <c r="C145" s="74">
        <f>77971.6-8326.2+721.6-624</f>
        <v>69743.00000000001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</f>
        <v>18440.2</v>
      </c>
      <c r="E145" s="15"/>
      <c r="F145" s="6">
        <f t="shared" si="20"/>
        <v>29.1944385514396</v>
      </c>
      <c r="G145" s="6">
        <f aca="true" t="shared" si="21" ref="G145:G154">D145/C145*100</f>
        <v>26.440216222416584</v>
      </c>
      <c r="H145" s="6">
        <f>B145-D145</f>
        <v>44723.2</v>
      </c>
      <c r="I145" s="6">
        <f aca="true" t="shared" si="22" ref="I145:I154">C145-D145</f>
        <v>51302.80000000002</v>
      </c>
      <c r="J145" s="105"/>
      <c r="K145" s="46"/>
      <c r="L145" s="46"/>
    </row>
    <row r="146" spans="1:12" ht="18.75">
      <c r="A146" s="23" t="s">
        <v>22</v>
      </c>
      <c r="B146" s="89">
        <f>27028.7-195</f>
        <v>26833.7</v>
      </c>
      <c r="C146" s="67">
        <f>23644.2-130+4631.1-195</f>
        <v>27950.300000000003</v>
      </c>
      <c r="D146" s="67">
        <f>2921.3+155.4+1707.9+56.8+14.6+990.8-990.8+14.7+990.8+400.1+597.2+8.8-9.6+18.2+0.4+53.9+92.1+242.6+11.1+67.1+121.7-0.1+4651+87.1+10.9+599.2</f>
        <v>12813.2</v>
      </c>
      <c r="E146" s="6"/>
      <c r="F146" s="6">
        <f t="shared" si="20"/>
        <v>47.75040341063663</v>
      </c>
      <c r="G146" s="6">
        <f t="shared" si="21"/>
        <v>45.84279954061316</v>
      </c>
      <c r="H146" s="6">
        <f aca="true" t="shared" si="23" ref="H146:H153">B146-D146</f>
        <v>14020.5</v>
      </c>
      <c r="I146" s="6">
        <f t="shared" si="22"/>
        <v>15137.100000000002</v>
      </c>
      <c r="K146" s="46"/>
      <c r="L146" s="46"/>
    </row>
    <row r="147" spans="1:12" ht="18.75">
      <c r="A147" s="23" t="s">
        <v>63</v>
      </c>
      <c r="B147" s="89">
        <f>87818.4-39.4+632-23</f>
        <v>88388</v>
      </c>
      <c r="C147" s="67">
        <f>109130.7-6200+130-3633.3+1677.5-526.6+624</f>
        <v>101202.29999999999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</f>
        <v>22767.899999999998</v>
      </c>
      <c r="E147" s="6"/>
      <c r="F147" s="6">
        <f t="shared" si="20"/>
        <v>25.75903968864551</v>
      </c>
      <c r="G147" s="6">
        <f t="shared" si="21"/>
        <v>22.49741359633131</v>
      </c>
      <c r="H147" s="6">
        <f t="shared" si="23"/>
        <v>65620.1</v>
      </c>
      <c r="I147" s="6">
        <f t="shared" si="22"/>
        <v>78434.4</v>
      </c>
      <c r="K147" s="46"/>
      <c r="L147" s="46"/>
    </row>
    <row r="148" spans="1:12" ht="37.5">
      <c r="A148" s="23" t="s">
        <v>72</v>
      </c>
      <c r="B148" s="89"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17475.5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</f>
        <v>5194.700000000002</v>
      </c>
      <c r="E149" s="19"/>
      <c r="F149" s="6">
        <f t="shared" si="20"/>
        <v>29.7256158622071</v>
      </c>
      <c r="G149" s="6">
        <f t="shared" si="21"/>
        <v>26.684097516874374</v>
      </c>
      <c r="H149" s="6">
        <f t="shared" si="23"/>
        <v>12280.8</v>
      </c>
      <c r="I149" s="6">
        <f t="shared" si="22"/>
        <v>14272.7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989.1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87.41279951471034</v>
      </c>
      <c r="G151" s="6">
        <f t="shared" si="21"/>
        <v>75.10423905489924</v>
      </c>
      <c r="H151" s="6">
        <f t="shared" si="23"/>
        <v>124.5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1118.3+480+39.8</f>
        <v>1638.1</v>
      </c>
      <c r="E152" s="19"/>
      <c r="F152" s="6">
        <f>D152/B152*100</f>
        <v>84.19077966798581</v>
      </c>
      <c r="G152" s="6">
        <f t="shared" si="21"/>
        <v>84.19077966798581</v>
      </c>
      <c r="H152" s="6">
        <f t="shared" si="23"/>
        <v>307.60000000000014</v>
      </c>
      <c r="I152" s="6">
        <f t="shared" si="22"/>
        <v>307.60000000000014</v>
      </c>
    </row>
    <row r="153" spans="1:9" ht="19.5" thickBot="1">
      <c r="A153" s="23" t="s">
        <v>64</v>
      </c>
      <c r="B153" s="89">
        <v>8156.2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</f>
        <v>2277.3</v>
      </c>
      <c r="E153" s="24"/>
      <c r="F153" s="6">
        <f>D153/B153*100</f>
        <v>27.92109070400432</v>
      </c>
      <c r="G153" s="6">
        <f t="shared" si="21"/>
        <v>25.684896743850317</v>
      </c>
      <c r="H153" s="6">
        <f t="shared" si="23"/>
        <v>5878.9</v>
      </c>
      <c r="I153" s="6">
        <f t="shared" si="22"/>
        <v>6588.999999999999</v>
      </c>
    </row>
    <row r="154" spans="1:9" ht="19.5" thickBot="1">
      <c r="A154" s="14" t="s">
        <v>20</v>
      </c>
      <c r="B154" s="91">
        <f>B137+B145+B149+B150+B146+B153+B152+B147+B151+B148</f>
        <v>760114.9999999998</v>
      </c>
      <c r="C154" s="91">
        <f>C137+C145+C149+C150+C146+C153+C152+C147+C151+C148</f>
        <v>861086</v>
      </c>
      <c r="D154" s="91">
        <f>D137+D145+D149+D150+D146+D153+D152+D147+D151+D148</f>
        <v>586971.01</v>
      </c>
      <c r="E154" s="25"/>
      <c r="F154" s="3">
        <f>D154/B154*100</f>
        <v>77.22134282312547</v>
      </c>
      <c r="G154" s="3">
        <f t="shared" si="21"/>
        <v>68.16636317394547</v>
      </c>
      <c r="H154" s="3">
        <f>B154-D154</f>
        <v>173143.98999999976</v>
      </c>
      <c r="I154" s="3">
        <f t="shared" si="22"/>
        <v>274114.99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3" sqref="Q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516575.01000000007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T23" sqref="T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1" sqref="Q21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22" sqref="P22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516575.01000000007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2014-09-30T09:09:30Z</cp:lastPrinted>
  <dcterms:created xsi:type="dcterms:W3CDTF">2000-06-20T04:48:00Z</dcterms:created>
  <dcterms:modified xsi:type="dcterms:W3CDTF">2014-10-31T06:01:05Z</dcterms:modified>
  <cp:category/>
  <cp:version/>
  <cp:contentType/>
  <cp:contentStatus/>
</cp:coreProperties>
</file>